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Dados Pitanga" sheetId="2" r:id="rId1"/>
    <sheet name="Custos Pitanga" sheetId="4" r:id="rId2"/>
  </sheets>
  <calcPr calcId="145621"/>
</workbook>
</file>

<file path=xl/calcChain.xml><?xml version="1.0" encoding="utf-8"?>
<calcChain xmlns="http://schemas.openxmlformats.org/spreadsheetml/2006/main">
  <c r="D6" i="2" l="1"/>
  <c r="C55" i="4" l="1"/>
  <c r="D46" i="4"/>
  <c r="C57" i="4" s="1"/>
  <c r="H39" i="4"/>
  <c r="C37" i="4"/>
  <c r="D37" i="4" s="1"/>
  <c r="C56" i="4" s="1"/>
  <c r="D21" i="4"/>
  <c r="G15" i="4"/>
  <c r="H14" i="4"/>
  <c r="H13" i="4"/>
  <c r="H12" i="4"/>
  <c r="H11" i="4"/>
  <c r="H10" i="4"/>
  <c r="H15" i="4" s="1"/>
  <c r="C50" i="4" s="1"/>
  <c r="H5" i="4"/>
  <c r="C63" i="4" s="1"/>
  <c r="H25" i="4" l="1"/>
  <c r="C52" i="4" s="1"/>
  <c r="D22" i="4"/>
  <c r="D23" i="4" s="1"/>
  <c r="A14" i="2"/>
  <c r="C14" i="2" s="1"/>
  <c r="D14" i="2" s="1"/>
  <c r="A13" i="2"/>
  <c r="C13" i="2" s="1"/>
  <c r="D13" i="2" s="1"/>
  <c r="A12" i="2"/>
  <c r="C12" i="2" s="1"/>
  <c r="D12" i="2" s="1"/>
  <c r="A11" i="2"/>
  <c r="C11" i="2" s="1"/>
  <c r="D11" i="2" s="1"/>
  <c r="C5" i="2"/>
  <c r="D5" i="2" s="1"/>
  <c r="C4" i="2"/>
  <c r="D4" i="2" s="1"/>
  <c r="C3" i="2"/>
  <c r="D3" i="2" s="1"/>
  <c r="C51" i="4" l="1"/>
  <c r="H28" i="4"/>
  <c r="H29" i="4" s="1"/>
  <c r="C54" i="4" s="1"/>
  <c r="D28" i="4"/>
  <c r="D29" i="4" s="1"/>
  <c r="C53" i="4" s="1"/>
  <c r="C15" i="2"/>
  <c r="D15" i="2" s="1"/>
  <c r="C20" i="2" s="1"/>
  <c r="D10" i="4" s="1"/>
  <c r="C7" i="2"/>
  <c r="D7" i="2" s="1"/>
  <c r="D12" i="4" l="1"/>
  <c r="C10" i="4"/>
  <c r="D11" i="4"/>
  <c r="C11" i="4" l="1"/>
  <c r="C12" i="4"/>
  <c r="D13" i="4"/>
  <c r="C13" i="4" l="1"/>
  <c r="C14" i="4" s="1"/>
  <c r="D14" i="4"/>
  <c r="D15" i="4"/>
  <c r="C15" i="4" l="1"/>
  <c r="C16" i="4" s="1"/>
  <c r="D16" i="4"/>
  <c r="C49" i="4" s="1"/>
  <c r="C58" i="4" s="1"/>
  <c r="H44" i="4" s="1"/>
  <c r="C59" i="4" l="1"/>
  <c r="C60" i="4" s="1"/>
  <c r="C61" i="4" s="1"/>
  <c r="H43" i="4" s="1"/>
  <c r="C62" i="4" l="1"/>
  <c r="C64" i="4" s="1"/>
  <c r="H42" i="4" l="1"/>
  <c r="H45" i="4" s="1"/>
  <c r="H46" i="4" l="1"/>
  <c r="H47" i="4"/>
  <c r="H48" i="4" l="1"/>
</calcChain>
</file>

<file path=xl/sharedStrings.xml><?xml version="1.0" encoding="utf-8"?>
<sst xmlns="http://schemas.openxmlformats.org/spreadsheetml/2006/main" count="127" uniqueCount="118">
  <si>
    <t>Total</t>
  </si>
  <si>
    <t>Efetivo</t>
  </si>
  <si>
    <t>Início</t>
  </si>
  <si>
    <t>Término</t>
  </si>
  <si>
    <t>Morto</t>
  </si>
  <si>
    <t>Motorista</t>
  </si>
  <si>
    <t>Valor mensal</t>
  </si>
  <si>
    <t>Salário Normativo</t>
  </si>
  <si>
    <t>horas trabalhadas no transporte</t>
  </si>
  <si>
    <t>Total/dia</t>
  </si>
  <si>
    <t>total/semana</t>
  </si>
  <si>
    <t>Utilização de Recursos Humanos</t>
  </si>
  <si>
    <t>horas mês</t>
  </si>
  <si>
    <t>Horário Estimado Execução do Transporte</t>
  </si>
  <si>
    <t>PREFEITURA MUNICIPAL DE NOVA CANDELÁRIA</t>
  </si>
  <si>
    <t>Planilha Analítica de Custos</t>
  </si>
  <si>
    <r>
      <rPr>
        <b/>
        <sz val="10"/>
        <color theme="1"/>
        <rFont val="Arial"/>
        <family val="2"/>
      </rPr>
      <t>Idade máxima:</t>
    </r>
    <r>
      <rPr>
        <sz val="10"/>
        <color theme="1"/>
        <rFont val="Arial"/>
        <family val="2"/>
      </rPr>
      <t xml:space="preserve"> 20 anos</t>
    </r>
  </si>
  <si>
    <t xml:space="preserve">Percurso diário: </t>
  </si>
  <si>
    <r>
      <rPr>
        <b/>
        <sz val="10"/>
        <color theme="1"/>
        <rFont val="Arial"/>
        <family val="2"/>
      </rPr>
      <t>N° de dias letivos:</t>
    </r>
    <r>
      <rPr>
        <sz val="10"/>
        <color theme="1"/>
        <rFont val="Arial"/>
        <family val="2"/>
      </rPr>
      <t xml:space="preserve"> 200</t>
    </r>
  </si>
  <si>
    <r>
      <rPr>
        <b/>
        <sz val="10"/>
        <color theme="1"/>
        <rFont val="Arial"/>
        <family val="2"/>
      </rPr>
      <t xml:space="preserve">N° de meses de transporte: </t>
    </r>
    <r>
      <rPr>
        <sz val="10"/>
        <color theme="1"/>
        <rFont val="Arial"/>
        <family val="2"/>
      </rPr>
      <t>10</t>
    </r>
  </si>
  <si>
    <r>
      <rPr>
        <b/>
        <sz val="10"/>
        <color theme="1"/>
        <rFont val="Arial"/>
        <family val="2"/>
      </rPr>
      <t>Média de dias letivos/mês:</t>
    </r>
    <r>
      <rPr>
        <sz val="10"/>
        <color theme="1"/>
        <rFont val="Arial"/>
        <family val="2"/>
      </rPr>
      <t xml:space="preserve"> 20</t>
    </r>
  </si>
  <si>
    <r>
      <rPr>
        <b/>
        <sz val="10"/>
        <color theme="1"/>
        <rFont val="Arial"/>
        <family val="2"/>
      </rPr>
      <t>Percurso mesal:</t>
    </r>
    <r>
      <rPr>
        <sz val="10"/>
        <color theme="1"/>
        <rFont val="Arial"/>
        <family val="2"/>
      </rPr>
      <t xml:space="preserve"> </t>
    </r>
  </si>
  <si>
    <t>2. Custos com Taxas Veículo</t>
  </si>
  <si>
    <t>ano</t>
  </si>
  <si>
    <t xml:space="preserve">mês </t>
  </si>
  <si>
    <t>mês</t>
  </si>
  <si>
    <t>Salário</t>
  </si>
  <si>
    <t>IPVA *</t>
  </si>
  <si>
    <t>Provisão 13º</t>
  </si>
  <si>
    <t>DPVAT *</t>
  </si>
  <si>
    <t>Provisão 1/3 férias</t>
  </si>
  <si>
    <t>Licenciamento *</t>
  </si>
  <si>
    <t>Sub total</t>
  </si>
  <si>
    <t>Vistoria INMETRO *</t>
  </si>
  <si>
    <t>INSS (20%)</t>
  </si>
  <si>
    <t>Outros seguros *</t>
  </si>
  <si>
    <t>FGTS (8%)</t>
  </si>
  <si>
    <t>TOTAL</t>
  </si>
  <si>
    <t>* Considerar valores reais de acordo com o veículo prestará o serviço.</t>
  </si>
  <si>
    <t>3. Custo de Combustível</t>
  </si>
  <si>
    <t>4. Custo de Rodagem (pneus)</t>
  </si>
  <si>
    <t>Coeficiente de consumo de combustivel (KM/litro)</t>
  </si>
  <si>
    <t>Vida útil pneu novo (KM)</t>
  </si>
  <si>
    <t>Preço médio do litro de combustível (R$/litro)</t>
  </si>
  <si>
    <t>Vida útil pneu recapado (KM)</t>
  </si>
  <si>
    <t>Custo do combustível por Km rodado</t>
  </si>
  <si>
    <t>Nº de pneus novos</t>
  </si>
  <si>
    <t>Média de Km/mês</t>
  </si>
  <si>
    <t>Nº de pneus recapados</t>
  </si>
  <si>
    <t>Custo total com combustível</t>
  </si>
  <si>
    <t>Valor pneu novo</t>
  </si>
  <si>
    <t>Valor pneu recapado</t>
  </si>
  <si>
    <t>Custo mensal com rodagem</t>
  </si>
  <si>
    <t>5. Custo de óleos e lubrificantes</t>
  </si>
  <si>
    <t>6. Custo de Manutenção (peças e acessórios)</t>
  </si>
  <si>
    <t>Relação combustível/ óleo e lubrificante</t>
  </si>
  <si>
    <t>Relação combustível/manutenção</t>
  </si>
  <si>
    <t>Custo total com óleos/lubrificantes</t>
  </si>
  <si>
    <t>Custo da manutenção por mês</t>
  </si>
  <si>
    <t>7. Despesas Administrativas (não operacionais)</t>
  </si>
  <si>
    <t>8. Lucratividade</t>
  </si>
  <si>
    <t>Outras Despesas Administrativas (aprox. 5% sobre faturamento)</t>
  </si>
  <si>
    <t>Taxa de lucro</t>
  </si>
  <si>
    <t>9. Depreciação</t>
  </si>
  <si>
    <t>10. Regime de Tributação</t>
  </si>
  <si>
    <t>Ano do Veículo</t>
  </si>
  <si>
    <t>Valor Veículo</t>
  </si>
  <si>
    <t>Valor residual</t>
  </si>
  <si>
    <t>% depreciação</t>
  </si>
  <si>
    <t>Simples Nacional - Anexo III (% conforme faturamento)</t>
  </si>
  <si>
    <t>PIS</t>
  </si>
  <si>
    <t>Depreciação Mensal *</t>
  </si>
  <si>
    <t>Cofins</t>
  </si>
  <si>
    <t>* Veículos fabricados antes do ano de 2013 deverão desconsiderar esse custo, por tanto não deverá ser preenchido este campo. (IN 162/98 da RFB).</t>
  </si>
  <si>
    <t>ISS</t>
  </si>
  <si>
    <t>11. Remuneração do Capital</t>
  </si>
  <si>
    <t>Apuração do Resultado</t>
  </si>
  <si>
    <t>Especificação do veículo</t>
  </si>
  <si>
    <t>Micro ônibus</t>
  </si>
  <si>
    <t>Receita</t>
  </si>
  <si>
    <t>Ano do veículo</t>
  </si>
  <si>
    <t>(-) Impostos</t>
  </si>
  <si>
    <t>Valor do veículo que prestará o serviço (valor tabela FIPE)</t>
  </si>
  <si>
    <t>(-) Custos</t>
  </si>
  <si>
    <t>Taxa de Remuneração capital anual</t>
  </si>
  <si>
    <t>(=) Resultado (lucro estimado)</t>
  </si>
  <si>
    <t>Remuneração do Capital mensal</t>
  </si>
  <si>
    <t>(-) CSLL (0,79%)</t>
  </si>
  <si>
    <t>(-) IRPJ (0,81%)</t>
  </si>
  <si>
    <t>12. Definição do Preço</t>
  </si>
  <si>
    <t>(=) Lucro Líquido</t>
  </si>
  <si>
    <t>Custos com Pessoal</t>
  </si>
  <si>
    <t>Custos com Taxas Veículo</t>
  </si>
  <si>
    <t>Custo de Combustível</t>
  </si>
  <si>
    <t>Custo de Rodagem</t>
  </si>
  <si>
    <t>Custo de óleos e lubrificantes</t>
  </si>
  <si>
    <t>Custo de Manutenção</t>
  </si>
  <si>
    <t>Despesas Administrativas</t>
  </si>
  <si>
    <t>Depreciação</t>
  </si>
  <si>
    <t>Remuneração do Capital</t>
  </si>
  <si>
    <t>_______________________, ______de ________________de 2017.</t>
  </si>
  <si>
    <t>Total custos mensal</t>
  </si>
  <si>
    <t>Lucro Estimado</t>
  </si>
  <si>
    <t>Base de Cálculo para Impostos</t>
  </si>
  <si>
    <t>________________________________________________________</t>
  </si>
  <si>
    <t>Valor Tributos Estimado</t>
  </si>
  <si>
    <t>Empresa</t>
  </si>
  <si>
    <t xml:space="preserve">Valor Total </t>
  </si>
  <si>
    <t xml:space="preserve">CNPJ: </t>
  </si>
  <si>
    <t>Valor do Km Rodado</t>
  </si>
  <si>
    <t>1. Custos com Pessoal</t>
  </si>
  <si>
    <t>Roteiro: APAE</t>
  </si>
  <si>
    <r>
      <rPr>
        <b/>
        <sz val="10"/>
        <color theme="1"/>
        <rFont val="Arial"/>
        <family val="2"/>
      </rPr>
      <t xml:space="preserve">Veículo: </t>
    </r>
    <r>
      <rPr>
        <sz val="10"/>
        <color theme="1"/>
        <rFont val="Arial"/>
        <family val="2"/>
      </rPr>
      <t>VAN</t>
    </r>
  </si>
  <si>
    <r>
      <t xml:space="preserve">Nº de alunos turno da manhã: </t>
    </r>
    <r>
      <rPr>
        <sz val="10"/>
        <color theme="1"/>
        <rFont val="Arial"/>
        <family val="2"/>
      </rPr>
      <t>10</t>
    </r>
  </si>
  <si>
    <r>
      <t xml:space="preserve">Nº de alunos turno da tarde: </t>
    </r>
    <r>
      <rPr>
        <sz val="10"/>
        <color theme="1"/>
        <rFont val="Arial"/>
        <family val="2"/>
      </rPr>
      <t>09</t>
    </r>
  </si>
  <si>
    <r>
      <t xml:space="preserve">Nº de alunos turno da noite: </t>
    </r>
    <r>
      <rPr>
        <sz val="10"/>
        <color theme="1"/>
        <rFont val="Arial"/>
        <family val="2"/>
      </rPr>
      <t>00</t>
    </r>
  </si>
  <si>
    <r>
      <t xml:space="preserve">Total de Alunos: </t>
    </r>
    <r>
      <rPr>
        <sz val="10"/>
        <color theme="1"/>
        <rFont val="Arial"/>
        <family val="2"/>
      </rPr>
      <t>19</t>
    </r>
  </si>
  <si>
    <r>
      <rPr>
        <b/>
        <sz val="10"/>
        <color theme="1"/>
        <rFont val="Arial"/>
        <family val="2"/>
      </rPr>
      <t xml:space="preserve">Capacidade: </t>
    </r>
    <r>
      <rPr>
        <sz val="10"/>
        <color theme="1"/>
        <rFont val="Arial"/>
        <family val="2"/>
      </rPr>
      <t>14 a 19 passageiros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</si>
</sst>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h:mm;@"/>
    <numFmt numFmtId="165" formatCode="&quot;R$&quot;\ #,##0.00"/>
    <numFmt numFmtId="166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3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" fillId="0" borderId="6" applyNumberFormat="0" applyFill="0" applyAlignment="0" applyProtection="0"/>
  </cellStyleXfs>
  <cellXfs count="96">
    <xf numFmtId="0" fontId="0" fillId="0" borderId="0" xfId="0"/>
    <xf numFmtId="0" fontId="3" fillId="0" borderId="0" xfId="0" applyFont="1" applyBorder="1" applyAlignment="1">
      <alignment horizontal="right"/>
    </xf>
    <xf numFmtId="0" fontId="4" fillId="0" borderId="2" xfId="0" applyFont="1" applyBorder="1" applyAlignment="1">
      <alignment horizontal="center"/>
    </xf>
    <xf numFmtId="164" fontId="3" fillId="0" borderId="2" xfId="0" applyNumberFormat="1" applyFont="1" applyBorder="1"/>
    <xf numFmtId="0" fontId="4" fillId="0" borderId="0" xfId="0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0" xfId="5" applyFont="1" applyBorder="1"/>
    <xf numFmtId="0" fontId="3" fillId="0" borderId="0" xfId="5" applyFont="1" applyBorder="1"/>
    <xf numFmtId="0" fontId="4" fillId="0" borderId="2" xfId="5" applyFont="1" applyBorder="1" applyAlignment="1">
      <alignment horizontal="center"/>
    </xf>
    <xf numFmtId="2" fontId="0" fillId="0" borderId="0" xfId="0" applyNumberFormat="1"/>
    <xf numFmtId="0" fontId="2" fillId="0" borderId="0" xfId="1" applyFont="1" applyBorder="1" applyAlignment="1">
      <alignment horizontal="center"/>
    </xf>
    <xf numFmtId="2" fontId="3" fillId="0" borderId="2" xfId="0" applyNumberFormat="1" applyFont="1" applyBorder="1"/>
    <xf numFmtId="2" fontId="4" fillId="0" borderId="2" xfId="0" applyNumberFormat="1" applyFont="1" applyBorder="1" applyAlignment="1">
      <alignment horizontal="right"/>
    </xf>
    <xf numFmtId="0" fontId="4" fillId="0" borderId="2" xfId="0" applyFont="1" applyFill="1" applyBorder="1" applyAlignment="1">
      <alignment horizontal="center"/>
    </xf>
    <xf numFmtId="2" fontId="0" fillId="0" borderId="2" xfId="0" applyNumberFormat="1" applyBorder="1"/>
    <xf numFmtId="0" fontId="4" fillId="0" borderId="2" xfId="5" applyFont="1" applyBorder="1" applyAlignment="1"/>
    <xf numFmtId="0" fontId="0" fillId="0" borderId="2" xfId="0" applyBorder="1"/>
    <xf numFmtId="4" fontId="3" fillId="0" borderId="2" xfId="0" applyNumberFormat="1" applyFont="1" applyBorder="1" applyAlignment="1"/>
    <xf numFmtId="0" fontId="8" fillId="0" borderId="3" xfId="0" applyFont="1" applyBorder="1" applyAlignment="1"/>
    <xf numFmtId="43" fontId="7" fillId="0" borderId="4" xfId="2" applyFont="1" applyBorder="1" applyAlignment="1"/>
    <xf numFmtId="0" fontId="7" fillId="0" borderId="3" xfId="0" applyFont="1" applyBorder="1" applyAlignment="1"/>
    <xf numFmtId="0" fontId="7" fillId="0" borderId="0" xfId="0" applyFont="1"/>
    <xf numFmtId="0" fontId="7" fillId="0" borderId="2" xfId="0" applyFont="1" applyFill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65" fontId="7" fillId="0" borderId="2" xfId="0" applyNumberFormat="1" applyFont="1" applyBorder="1"/>
    <xf numFmtId="165" fontId="7" fillId="3" borderId="2" xfId="0" applyNumberFormat="1" applyFont="1" applyFill="1" applyBorder="1"/>
    <xf numFmtId="165" fontId="9" fillId="3" borderId="2" xfId="0" applyNumberFormat="1" applyFont="1" applyFill="1" applyBorder="1"/>
    <xf numFmtId="165" fontId="7" fillId="4" borderId="2" xfId="0" applyNumberFormat="1" applyFont="1" applyFill="1" applyBorder="1"/>
    <xf numFmtId="2" fontId="7" fillId="0" borderId="2" xfId="2" applyNumberFormat="1" applyFont="1" applyFill="1" applyBorder="1"/>
    <xf numFmtId="166" fontId="7" fillId="0" borderId="2" xfId="2" applyNumberFormat="1" applyFont="1" applyFill="1" applyBorder="1"/>
    <xf numFmtId="166" fontId="7" fillId="5" borderId="2" xfId="2" applyNumberFormat="1" applyFont="1" applyFill="1" applyBorder="1"/>
    <xf numFmtId="166" fontId="7" fillId="6" borderId="2" xfId="2" applyNumberFormat="1" applyFont="1" applyFill="1" applyBorder="1"/>
    <xf numFmtId="43" fontId="7" fillId="0" borderId="2" xfId="2" applyFont="1" applyFill="1" applyBorder="1"/>
    <xf numFmtId="165" fontId="7" fillId="0" borderId="2" xfId="2" applyNumberFormat="1" applyFont="1" applyFill="1" applyBorder="1"/>
    <xf numFmtId="0" fontId="7" fillId="0" borderId="0" xfId="0" applyFont="1" applyFill="1" applyBorder="1" applyAlignment="1">
      <alignment horizontal="left"/>
    </xf>
    <xf numFmtId="165" fontId="7" fillId="0" borderId="0" xfId="0" applyNumberFormat="1" applyFont="1" applyBorder="1"/>
    <xf numFmtId="0" fontId="7" fillId="0" borderId="2" xfId="0" applyFont="1" applyFill="1" applyBorder="1" applyAlignment="1"/>
    <xf numFmtId="0" fontId="7" fillId="0" borderId="2" xfId="0" applyFont="1" applyBorder="1" applyAlignment="1"/>
    <xf numFmtId="9" fontId="7" fillId="0" borderId="2" xfId="2" applyNumberFormat="1" applyFont="1" applyFill="1" applyBorder="1"/>
    <xf numFmtId="9" fontId="7" fillId="0" borderId="2" xfId="4" applyFont="1" applyFill="1" applyBorder="1"/>
    <xf numFmtId="165" fontId="7" fillId="0" borderId="2" xfId="0" applyNumberFormat="1" applyFont="1" applyFill="1" applyBorder="1"/>
    <xf numFmtId="0" fontId="7" fillId="0" borderId="0" xfId="0" applyFont="1" applyFill="1" applyBorder="1" applyAlignment="1"/>
    <xf numFmtId="0" fontId="7" fillId="0" borderId="0" xfId="0" applyFont="1" applyBorder="1" applyAlignment="1"/>
    <xf numFmtId="0" fontId="7" fillId="0" borderId="0" xfId="0" applyFont="1" applyBorder="1"/>
    <xf numFmtId="10" fontId="7" fillId="7" borderId="2" xfId="4" applyNumberFormat="1" applyFont="1" applyFill="1" applyBorder="1"/>
    <xf numFmtId="0" fontId="7" fillId="3" borderId="2" xfId="0" applyFont="1" applyFill="1" applyBorder="1"/>
    <xf numFmtId="9" fontId="7" fillId="0" borderId="2" xfId="0" applyNumberFormat="1" applyFont="1" applyBorder="1"/>
    <xf numFmtId="43" fontId="7" fillId="7" borderId="2" xfId="2" applyFont="1" applyFill="1" applyBorder="1"/>
    <xf numFmtId="0" fontId="7" fillId="0" borderId="9" xfId="0" applyFont="1" applyBorder="1" applyAlignment="1">
      <alignment vertical="top" wrapText="1"/>
    </xf>
    <xf numFmtId="0" fontId="7" fillId="3" borderId="2" xfId="0" applyFont="1" applyFill="1" applyBorder="1" applyAlignment="1"/>
    <xf numFmtId="165" fontId="7" fillId="3" borderId="2" xfId="2" applyNumberFormat="1" applyFont="1" applyFill="1" applyBorder="1"/>
    <xf numFmtId="10" fontId="7" fillId="0" borderId="2" xfId="0" applyNumberFormat="1" applyFont="1" applyBorder="1"/>
    <xf numFmtId="165" fontId="10" fillId="0" borderId="2" xfId="0" applyNumberFormat="1" applyFont="1" applyBorder="1"/>
    <xf numFmtId="165" fontId="7" fillId="0" borderId="2" xfId="2" applyNumberFormat="1" applyFont="1" applyBorder="1"/>
    <xf numFmtId="165" fontId="7" fillId="0" borderId="0" xfId="0" applyNumberFormat="1" applyFont="1"/>
    <xf numFmtId="0" fontId="7" fillId="0" borderId="8" xfId="0" applyFont="1" applyBorder="1" applyAlignment="1">
      <alignment horizontal="center"/>
    </xf>
    <xf numFmtId="0" fontId="7" fillId="0" borderId="0" xfId="0" applyFont="1" applyAlignment="1">
      <alignment horizontal="center"/>
    </xf>
    <xf numFmtId="165" fontId="7" fillId="0" borderId="2" xfId="3" applyNumberFormat="1" applyFont="1" applyBorder="1"/>
    <xf numFmtId="0" fontId="7" fillId="0" borderId="0" xfId="0" applyFont="1" applyBorder="1" applyAlignment="1">
      <alignment horizontal="center"/>
    </xf>
    <xf numFmtId="4" fontId="7" fillId="0" borderId="2" xfId="2" applyNumberFormat="1" applyFont="1" applyBorder="1"/>
    <xf numFmtId="165" fontId="11" fillId="8" borderId="2" xfId="0" applyNumberFormat="1" applyFont="1" applyFill="1" applyBorder="1"/>
    <xf numFmtId="0" fontId="2" fillId="0" borderId="8" xfId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11" fillId="8" borderId="2" xfId="0" applyFont="1" applyFill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8" fillId="2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7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left"/>
    </xf>
    <xf numFmtId="0" fontId="7" fillId="0" borderId="7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8" fillId="0" borderId="2" xfId="0" applyFont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7" fillId="0" borderId="0" xfId="0" applyFont="1" applyAlignment="1">
      <alignment horizontal="center"/>
    </xf>
  </cellXfs>
  <cellStyles count="6">
    <cellStyle name="Moeda" xfId="3" builtinId="4"/>
    <cellStyle name="Normal" xfId="0" builtinId="0"/>
    <cellStyle name="Porcentagem" xfId="4" builtinId="5"/>
    <cellStyle name="Título 2" xfId="1" builtinId="17"/>
    <cellStyle name="Título 3" xfId="5" builtinId="18"/>
    <cellStyle name="Vírgula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D21" sqref="D21"/>
    </sheetView>
  </sheetViews>
  <sheetFormatPr defaultRowHeight="15" x14ac:dyDescent="0.25"/>
  <cols>
    <col min="1" max="1" width="11.42578125" customWidth="1"/>
    <col min="3" max="3" width="12" customWidth="1"/>
    <col min="4" max="4" width="12.5703125" bestFit="1" customWidth="1"/>
    <col min="11" max="11" width="12" customWidth="1"/>
    <col min="12" max="12" width="11" bestFit="1" customWidth="1"/>
  </cols>
  <sheetData>
    <row r="1" spans="1:5" ht="17.25" x14ac:dyDescent="0.3">
      <c r="A1" s="62" t="s">
        <v>13</v>
      </c>
      <c r="B1" s="10"/>
      <c r="C1" s="1"/>
      <c r="D1" s="1"/>
    </row>
    <row r="2" spans="1:5" x14ac:dyDescent="0.25">
      <c r="A2" s="2" t="s">
        <v>2</v>
      </c>
      <c r="B2" s="2" t="s">
        <v>3</v>
      </c>
      <c r="C2" s="2" t="s">
        <v>9</v>
      </c>
      <c r="D2" s="13" t="s">
        <v>10</v>
      </c>
    </row>
    <row r="3" spans="1:5" x14ac:dyDescent="0.25">
      <c r="A3" s="3">
        <v>0.22916666666666666</v>
      </c>
      <c r="B3" s="3">
        <v>0.3125</v>
      </c>
      <c r="C3" s="11">
        <f>(MINUTE(B3)/60+HOUR(B3))-(MINUTE(A3)/60+HOUR(A3))</f>
        <v>2</v>
      </c>
      <c r="D3" s="14">
        <f>C3*5</f>
        <v>10</v>
      </c>
    </row>
    <row r="4" spans="1:5" x14ac:dyDescent="0.25">
      <c r="A4" s="3">
        <v>0.47916666666666669</v>
      </c>
      <c r="B4" s="3">
        <v>0.5625</v>
      </c>
      <c r="C4" s="11">
        <f>(MINUTE(B4)/60+HOUR(B4))-(MINUTE(A4)/60+HOUR(A4))</f>
        <v>2</v>
      </c>
      <c r="D4" s="14">
        <f t="shared" ref="D4:D6" si="0">C4*5</f>
        <v>10</v>
      </c>
      <c r="E4" s="9"/>
    </row>
    <row r="5" spans="1:5" x14ac:dyDescent="0.25">
      <c r="A5" s="3">
        <v>0.72916666666666663</v>
      </c>
      <c r="B5" s="3">
        <v>0.80208333333333337</v>
      </c>
      <c r="C5" s="11">
        <f>(MINUTE(B5)/60+HOUR(B5))-(MINUTE(A5)/60+HOUR(A5))</f>
        <v>1.75</v>
      </c>
      <c r="D5" s="14">
        <f t="shared" si="0"/>
        <v>8.75</v>
      </c>
      <c r="E5" s="9"/>
    </row>
    <row r="6" spans="1:5" x14ac:dyDescent="0.25">
      <c r="A6" s="3">
        <v>0</v>
      </c>
      <c r="B6" s="3">
        <v>0</v>
      </c>
      <c r="C6" s="11">
        <v>0</v>
      </c>
      <c r="D6" s="14">
        <f t="shared" si="0"/>
        <v>0</v>
      </c>
    </row>
    <row r="7" spans="1:5" x14ac:dyDescent="0.25">
      <c r="A7" s="63" t="s">
        <v>0</v>
      </c>
      <c r="B7" s="63"/>
      <c r="C7" s="12">
        <f>SUM(C3:C6)</f>
        <v>5.75</v>
      </c>
      <c r="D7" s="14">
        <f>C7*5</f>
        <v>28.75</v>
      </c>
    </row>
    <row r="8" spans="1:5" x14ac:dyDescent="0.25">
      <c r="A8" s="4"/>
      <c r="B8" s="4"/>
      <c r="C8" s="4"/>
      <c r="D8" s="5"/>
    </row>
    <row r="9" spans="1:5" ht="17.25" x14ac:dyDescent="0.3">
      <c r="A9" s="62" t="s">
        <v>11</v>
      </c>
      <c r="B9" s="10"/>
      <c r="C9" s="10"/>
      <c r="D9" s="10"/>
    </row>
    <row r="10" spans="1:5" x14ac:dyDescent="0.25">
      <c r="A10" s="2" t="s">
        <v>1</v>
      </c>
      <c r="B10" s="2" t="s">
        <v>4</v>
      </c>
      <c r="C10" s="2" t="s">
        <v>9</v>
      </c>
      <c r="D10" s="13" t="s">
        <v>10</v>
      </c>
    </row>
    <row r="11" spans="1:5" x14ac:dyDescent="0.25">
      <c r="A11" s="3">
        <f>B3-A3+B11</f>
        <v>9.3750000000000014E-2</v>
      </c>
      <c r="B11" s="3">
        <v>1.0416666666666666E-2</v>
      </c>
      <c r="C11" s="11">
        <f>(MINUTE(A11)/60+HOUR(A11))+(MINUTE(B11)/60+HOUR(B11))</f>
        <v>2.5</v>
      </c>
      <c r="D11" s="14">
        <f>C11*5</f>
        <v>12.5</v>
      </c>
    </row>
    <row r="12" spans="1:5" x14ac:dyDescent="0.25">
      <c r="A12" s="3">
        <f>B4-A4+B12</f>
        <v>9.3749999999999986E-2</v>
      </c>
      <c r="B12" s="3">
        <v>1.0416666666666666E-2</v>
      </c>
      <c r="C12" s="11">
        <f>(MINUTE(A12)/60+HOUR(A12))+(MINUTE(B12)/60+HOUR(B12))</f>
        <v>2.5</v>
      </c>
      <c r="D12" s="14">
        <f t="shared" ref="D12:D15" si="1">C12*5</f>
        <v>12.5</v>
      </c>
    </row>
    <row r="13" spans="1:5" x14ac:dyDescent="0.25">
      <c r="A13" s="3">
        <f>B5-A5+B13</f>
        <v>8.3333333333333412E-2</v>
      </c>
      <c r="B13" s="3">
        <v>1.0416666666666666E-2</v>
      </c>
      <c r="C13" s="11">
        <f>(MINUTE(A13)/60+HOUR(A13))+(MINUTE(B13)/60+HOUR(B13))</f>
        <v>2.25</v>
      </c>
      <c r="D13" s="14">
        <f t="shared" si="1"/>
        <v>11.25</v>
      </c>
    </row>
    <row r="14" spans="1:5" x14ac:dyDescent="0.25">
      <c r="A14" s="3">
        <f>B6-A6+B14</f>
        <v>1.0416666666666666E-2</v>
      </c>
      <c r="B14" s="3">
        <v>1.0416666666666666E-2</v>
      </c>
      <c r="C14" s="11">
        <f>(MINUTE(A14)/60+HOUR(A14))+(MINUTE(B14)/60+HOUR(B14))</f>
        <v>0.5</v>
      </c>
      <c r="D14" s="14">
        <f t="shared" si="1"/>
        <v>2.5</v>
      </c>
    </row>
    <row r="15" spans="1:5" x14ac:dyDescent="0.25">
      <c r="A15" s="2" t="s">
        <v>0</v>
      </c>
      <c r="B15" s="2"/>
      <c r="C15" s="12">
        <f>SUM(C11:C14)</f>
        <v>7.75</v>
      </c>
      <c r="D15" s="14">
        <f t="shared" si="1"/>
        <v>38.75</v>
      </c>
    </row>
    <row r="17" spans="1:4" x14ac:dyDescent="0.25">
      <c r="A17" s="6"/>
      <c r="B17" s="6"/>
      <c r="C17" s="7"/>
      <c r="D17" s="7"/>
    </row>
    <row r="18" spans="1:4" x14ac:dyDescent="0.25">
      <c r="A18" s="15" t="s">
        <v>5</v>
      </c>
      <c r="B18" s="15"/>
      <c r="C18" s="8" t="s">
        <v>6</v>
      </c>
      <c r="D18" s="16" t="s">
        <v>12</v>
      </c>
    </row>
    <row r="19" spans="1:4" x14ac:dyDescent="0.25">
      <c r="A19" s="64" t="s">
        <v>7</v>
      </c>
      <c r="B19" s="64"/>
      <c r="C19" s="17">
        <v>1566.21</v>
      </c>
      <c r="D19" s="16">
        <v>44</v>
      </c>
    </row>
    <row r="20" spans="1:4" x14ac:dyDescent="0.25">
      <c r="A20" s="16" t="s">
        <v>8</v>
      </c>
      <c r="B20" s="16"/>
      <c r="C20" s="14">
        <f>C19*D20/D19</f>
        <v>1566.21</v>
      </c>
      <c r="D20" s="14">
        <v>44</v>
      </c>
    </row>
    <row r="22" spans="1:4" x14ac:dyDescent="0.25">
      <c r="C22" s="9"/>
    </row>
  </sheetData>
  <mergeCells count="2">
    <mergeCell ref="A7:B7"/>
    <mergeCell ref="A19:B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workbookViewId="0">
      <selection activeCell="C4" sqref="C4:D4"/>
    </sheetView>
  </sheetViews>
  <sheetFormatPr defaultRowHeight="15" x14ac:dyDescent="0.25"/>
  <cols>
    <col min="1" max="8" width="16.28515625" customWidth="1"/>
  </cols>
  <sheetData>
    <row r="1" spans="1:8" x14ac:dyDescent="0.25">
      <c r="A1" s="95" t="s">
        <v>14</v>
      </c>
      <c r="B1" s="95"/>
      <c r="C1" s="95"/>
      <c r="D1" s="95"/>
      <c r="E1" s="95"/>
      <c r="F1" s="95"/>
      <c r="G1" s="95"/>
      <c r="H1" s="95"/>
    </row>
    <row r="2" spans="1:8" x14ac:dyDescent="0.25">
      <c r="A2" s="95" t="s">
        <v>15</v>
      </c>
      <c r="B2" s="95"/>
      <c r="C2" s="95"/>
      <c r="D2" s="95"/>
      <c r="E2" s="95"/>
      <c r="F2" s="95"/>
      <c r="G2" s="95"/>
      <c r="H2" s="95"/>
    </row>
    <row r="3" spans="1:8" x14ac:dyDescent="0.25">
      <c r="A3" s="71" t="s">
        <v>111</v>
      </c>
      <c r="B3" s="71"/>
      <c r="C3" s="71"/>
      <c r="D3" s="71"/>
      <c r="E3" s="71"/>
      <c r="F3" s="71"/>
      <c r="G3" s="71"/>
      <c r="H3" s="71"/>
    </row>
    <row r="4" spans="1:8" x14ac:dyDescent="0.25">
      <c r="A4" s="65" t="s">
        <v>112</v>
      </c>
      <c r="B4" s="65"/>
      <c r="C4" s="65" t="s">
        <v>117</v>
      </c>
      <c r="D4" s="65"/>
      <c r="E4" s="65" t="s">
        <v>16</v>
      </c>
      <c r="F4" s="65"/>
      <c r="G4" s="18" t="s">
        <v>17</v>
      </c>
      <c r="H4" s="19">
        <v>170</v>
      </c>
    </row>
    <row r="5" spans="1:8" x14ac:dyDescent="0.25">
      <c r="A5" s="65" t="s">
        <v>18</v>
      </c>
      <c r="B5" s="65"/>
      <c r="C5" s="65" t="s">
        <v>19</v>
      </c>
      <c r="D5" s="65"/>
      <c r="E5" s="65" t="s">
        <v>20</v>
      </c>
      <c r="F5" s="65"/>
      <c r="G5" s="20" t="s">
        <v>21</v>
      </c>
      <c r="H5" s="19">
        <f>H4*20</f>
        <v>3400</v>
      </c>
    </row>
    <row r="6" spans="1:8" x14ac:dyDescent="0.25">
      <c r="A6" s="93" t="s">
        <v>113</v>
      </c>
      <c r="B6" s="94"/>
      <c r="C6" s="89" t="s">
        <v>114</v>
      </c>
      <c r="D6" s="89"/>
      <c r="E6" s="89" t="s">
        <v>115</v>
      </c>
      <c r="F6" s="89"/>
      <c r="G6" s="89" t="s">
        <v>116</v>
      </c>
      <c r="H6" s="89"/>
    </row>
    <row r="7" spans="1:8" x14ac:dyDescent="0.25">
      <c r="A7" s="21"/>
      <c r="B7" s="21"/>
      <c r="C7" s="21"/>
      <c r="D7" s="21"/>
      <c r="E7" s="21"/>
      <c r="F7" s="21"/>
      <c r="G7" s="21"/>
      <c r="H7" s="21"/>
    </row>
    <row r="8" spans="1:8" x14ac:dyDescent="0.25">
      <c r="A8" s="71" t="s">
        <v>110</v>
      </c>
      <c r="B8" s="71"/>
      <c r="C8" s="71"/>
      <c r="D8" s="71"/>
      <c r="E8" s="21"/>
      <c r="F8" s="71" t="s">
        <v>22</v>
      </c>
      <c r="G8" s="71"/>
      <c r="H8" s="71"/>
    </row>
    <row r="9" spans="1:8" x14ac:dyDescent="0.25">
      <c r="A9" s="90"/>
      <c r="B9" s="90"/>
      <c r="C9" s="22" t="s">
        <v>23</v>
      </c>
      <c r="D9" s="22" t="s">
        <v>24</v>
      </c>
      <c r="E9" s="21"/>
      <c r="F9" s="23"/>
      <c r="G9" s="24" t="s">
        <v>23</v>
      </c>
      <c r="H9" s="24" t="s">
        <v>25</v>
      </c>
    </row>
    <row r="10" spans="1:8" x14ac:dyDescent="0.25">
      <c r="A10" s="65" t="s">
        <v>26</v>
      </c>
      <c r="B10" s="65"/>
      <c r="C10" s="25">
        <f>D10*12</f>
        <v>18794.52</v>
      </c>
      <c r="D10" s="26">
        <f>'Dados Pitanga'!C20</f>
        <v>1566.21</v>
      </c>
      <c r="E10" s="21"/>
      <c r="F10" s="23" t="s">
        <v>27</v>
      </c>
      <c r="G10" s="26">
        <v>480</v>
      </c>
      <c r="H10" s="25">
        <f>G10/12</f>
        <v>40</v>
      </c>
    </row>
    <row r="11" spans="1:8" x14ac:dyDescent="0.25">
      <c r="A11" s="65" t="s">
        <v>28</v>
      </c>
      <c r="B11" s="65"/>
      <c r="C11" s="25">
        <f>C10/12</f>
        <v>1566.21</v>
      </c>
      <c r="D11" s="25">
        <f>D10/12</f>
        <v>130.51750000000001</v>
      </c>
      <c r="E11" s="21"/>
      <c r="F11" s="23" t="s">
        <v>29</v>
      </c>
      <c r="G11" s="27">
        <v>396.49</v>
      </c>
      <c r="H11" s="25">
        <f>G11/12</f>
        <v>33.040833333333332</v>
      </c>
    </row>
    <row r="12" spans="1:8" x14ac:dyDescent="0.25">
      <c r="A12" s="65" t="s">
        <v>30</v>
      </c>
      <c r="B12" s="65"/>
      <c r="C12" s="25">
        <f>C10/3/12</f>
        <v>522.07000000000005</v>
      </c>
      <c r="D12" s="25">
        <f>D10/3/12</f>
        <v>43.505833333333335</v>
      </c>
      <c r="E12" s="21"/>
      <c r="F12" s="23" t="s">
        <v>31</v>
      </c>
      <c r="G12" s="26">
        <v>76.72</v>
      </c>
      <c r="H12" s="25">
        <f>G12/12</f>
        <v>6.3933333333333335</v>
      </c>
    </row>
    <row r="13" spans="1:8" x14ac:dyDescent="0.25">
      <c r="A13" s="91" t="s">
        <v>32</v>
      </c>
      <c r="B13" s="92"/>
      <c r="C13" s="28">
        <f>SUM(C10:C12)</f>
        <v>20882.8</v>
      </c>
      <c r="D13" s="28">
        <f>SUM(D10:D12)</f>
        <v>1740.2333333333333</v>
      </c>
      <c r="E13" s="21"/>
      <c r="F13" s="23" t="s">
        <v>33</v>
      </c>
      <c r="G13" s="27">
        <v>646</v>
      </c>
      <c r="H13" s="25">
        <f>G13/12</f>
        <v>53.833333333333336</v>
      </c>
    </row>
    <row r="14" spans="1:8" x14ac:dyDescent="0.25">
      <c r="A14" s="65" t="s">
        <v>34</v>
      </c>
      <c r="B14" s="65"/>
      <c r="C14" s="25">
        <f>C13*20%</f>
        <v>4176.5600000000004</v>
      </c>
      <c r="D14" s="25">
        <f>D13*20%</f>
        <v>348.04666666666668</v>
      </c>
      <c r="E14" s="21"/>
      <c r="F14" s="23" t="s">
        <v>35</v>
      </c>
      <c r="G14" s="26">
        <v>784.88</v>
      </c>
      <c r="H14" s="25">
        <f>G14/12</f>
        <v>65.406666666666666</v>
      </c>
    </row>
    <row r="15" spans="1:8" x14ac:dyDescent="0.25">
      <c r="A15" s="65" t="s">
        <v>36</v>
      </c>
      <c r="B15" s="65"/>
      <c r="C15" s="25">
        <f>C13*8%</f>
        <v>1670.624</v>
      </c>
      <c r="D15" s="25">
        <f>D13*8%</f>
        <v>139.21866666666668</v>
      </c>
      <c r="E15" s="21"/>
      <c r="F15" s="23" t="s">
        <v>37</v>
      </c>
      <c r="G15" s="25">
        <f>SUM(G10:G14)</f>
        <v>2384.09</v>
      </c>
      <c r="H15" s="25">
        <f>SUM(H10:H14)</f>
        <v>198.67416666666665</v>
      </c>
    </row>
    <row r="16" spans="1:8" x14ac:dyDescent="0.25">
      <c r="A16" s="65" t="s">
        <v>37</v>
      </c>
      <c r="B16" s="65"/>
      <c r="C16" s="25">
        <f>SUM(C13:C15)</f>
        <v>26729.984</v>
      </c>
      <c r="D16" s="25">
        <f>SUM(D13:D15)</f>
        <v>2227.4986666666668</v>
      </c>
      <c r="E16" s="21"/>
      <c r="F16" s="87" t="s">
        <v>38</v>
      </c>
      <c r="G16" s="87"/>
      <c r="H16" s="87"/>
    </row>
    <row r="17" spans="1:8" x14ac:dyDescent="0.25">
      <c r="A17" s="21"/>
      <c r="B17" s="21"/>
      <c r="C17" s="21"/>
      <c r="D17" s="21"/>
      <c r="E17" s="21"/>
      <c r="F17" s="88"/>
      <c r="G17" s="88"/>
      <c r="H17" s="88"/>
    </row>
    <row r="18" spans="1:8" x14ac:dyDescent="0.25">
      <c r="A18" s="75" t="s">
        <v>39</v>
      </c>
      <c r="B18" s="76"/>
      <c r="C18" s="76"/>
      <c r="D18" s="77"/>
      <c r="E18" s="21"/>
      <c r="F18" s="71" t="s">
        <v>40</v>
      </c>
      <c r="G18" s="71"/>
      <c r="H18" s="71"/>
    </row>
    <row r="19" spans="1:8" x14ac:dyDescent="0.25">
      <c r="A19" s="65" t="s">
        <v>41</v>
      </c>
      <c r="B19" s="65"/>
      <c r="C19" s="65"/>
      <c r="D19" s="29">
        <v>3.87</v>
      </c>
      <c r="E19" s="21"/>
      <c r="F19" s="65" t="s">
        <v>42</v>
      </c>
      <c r="G19" s="65"/>
      <c r="H19" s="30">
        <v>15000</v>
      </c>
    </row>
    <row r="20" spans="1:8" x14ac:dyDescent="0.25">
      <c r="A20" s="65" t="s">
        <v>43</v>
      </c>
      <c r="B20" s="65"/>
      <c r="C20" s="65"/>
      <c r="D20" s="26">
        <v>3.04</v>
      </c>
      <c r="E20" s="21"/>
      <c r="F20" s="65" t="s">
        <v>44</v>
      </c>
      <c r="G20" s="65"/>
      <c r="H20" s="31">
        <v>14000</v>
      </c>
    </row>
    <row r="21" spans="1:8" x14ac:dyDescent="0.25">
      <c r="A21" s="65" t="s">
        <v>45</v>
      </c>
      <c r="B21" s="65"/>
      <c r="C21" s="65"/>
      <c r="D21" s="25">
        <f>D20/D19</f>
        <v>0.78552971576227393</v>
      </c>
      <c r="E21" s="21"/>
      <c r="F21" s="65" t="s">
        <v>46</v>
      </c>
      <c r="G21" s="65"/>
      <c r="H21" s="32">
        <v>4</v>
      </c>
    </row>
    <row r="22" spans="1:8" x14ac:dyDescent="0.25">
      <c r="A22" s="81" t="s">
        <v>47</v>
      </c>
      <c r="B22" s="81"/>
      <c r="C22" s="81"/>
      <c r="D22" s="33">
        <f>H5</f>
        <v>3400</v>
      </c>
      <c r="E22" s="21"/>
      <c r="F22" s="86" t="s">
        <v>48</v>
      </c>
      <c r="G22" s="86"/>
      <c r="H22" s="32">
        <v>2</v>
      </c>
    </row>
    <row r="23" spans="1:8" x14ac:dyDescent="0.25">
      <c r="A23" s="81" t="s">
        <v>49</v>
      </c>
      <c r="B23" s="81"/>
      <c r="C23" s="81"/>
      <c r="D23" s="25">
        <f>D21*D22</f>
        <v>2670.8010335917315</v>
      </c>
      <c r="E23" s="21"/>
      <c r="F23" s="81" t="s">
        <v>50</v>
      </c>
      <c r="G23" s="81"/>
      <c r="H23" s="34">
        <v>630</v>
      </c>
    </row>
    <row r="24" spans="1:8" x14ac:dyDescent="0.25">
      <c r="A24" s="35"/>
      <c r="B24" s="35"/>
      <c r="C24" s="35"/>
      <c r="D24" s="36"/>
      <c r="E24" s="21"/>
      <c r="F24" s="81" t="s">
        <v>51</v>
      </c>
      <c r="G24" s="81"/>
      <c r="H24" s="25">
        <v>310</v>
      </c>
    </row>
    <row r="25" spans="1:8" x14ac:dyDescent="0.25">
      <c r="A25" s="21"/>
      <c r="B25" s="21"/>
      <c r="C25" s="21"/>
      <c r="D25" s="21"/>
      <c r="E25" s="21"/>
      <c r="F25" s="37" t="s">
        <v>52</v>
      </c>
      <c r="G25" s="38"/>
      <c r="H25" s="25">
        <f>((((H23*H21)/H19)+(H24*H22)/H20)*H5)</f>
        <v>721.7714285714286</v>
      </c>
    </row>
    <row r="26" spans="1:8" x14ac:dyDescent="0.25">
      <c r="A26" s="75" t="s">
        <v>53</v>
      </c>
      <c r="B26" s="76"/>
      <c r="C26" s="76"/>
      <c r="D26" s="77"/>
      <c r="E26" s="21"/>
      <c r="F26" s="71" t="s">
        <v>54</v>
      </c>
      <c r="G26" s="71"/>
      <c r="H26" s="71"/>
    </row>
    <row r="27" spans="1:8" x14ac:dyDescent="0.25">
      <c r="A27" s="38" t="s">
        <v>55</v>
      </c>
      <c r="B27" s="38"/>
      <c r="C27" s="23"/>
      <c r="D27" s="39">
        <v>0.15</v>
      </c>
      <c r="E27" s="21"/>
      <c r="F27" s="38" t="s">
        <v>56</v>
      </c>
      <c r="G27" s="38"/>
      <c r="H27" s="40">
        <v>0.3</v>
      </c>
    </row>
    <row r="28" spans="1:8" x14ac:dyDescent="0.25">
      <c r="A28" s="67" t="s">
        <v>49</v>
      </c>
      <c r="B28" s="69"/>
      <c r="C28" s="68"/>
      <c r="D28" s="41">
        <f>D23</f>
        <v>2670.8010335917315</v>
      </c>
      <c r="E28" s="21"/>
      <c r="F28" s="38" t="s">
        <v>49</v>
      </c>
      <c r="G28" s="38"/>
      <c r="H28" s="41">
        <f>D23</f>
        <v>2670.8010335917315</v>
      </c>
    </row>
    <row r="29" spans="1:8" x14ac:dyDescent="0.25">
      <c r="A29" s="37" t="s">
        <v>57</v>
      </c>
      <c r="B29" s="38"/>
      <c r="C29" s="23"/>
      <c r="D29" s="25">
        <f>D28*D27</f>
        <v>400.62015503875972</v>
      </c>
      <c r="E29" s="21"/>
      <c r="F29" s="38" t="s">
        <v>58</v>
      </c>
      <c r="G29" s="38"/>
      <c r="H29" s="25">
        <f>H28*H27</f>
        <v>801.24031007751944</v>
      </c>
    </row>
    <row r="30" spans="1:8" x14ac:dyDescent="0.25">
      <c r="A30" s="42"/>
      <c r="B30" s="43"/>
      <c r="C30" s="44"/>
      <c r="D30" s="36"/>
      <c r="E30" s="21"/>
      <c r="F30" s="21"/>
      <c r="G30" s="21"/>
      <c r="H30" s="21"/>
    </row>
    <row r="31" spans="1:8" x14ac:dyDescent="0.25">
      <c r="A31" s="71" t="s">
        <v>59</v>
      </c>
      <c r="B31" s="71"/>
      <c r="C31" s="71"/>
      <c r="D31" s="71"/>
      <c r="E31" s="21"/>
      <c r="F31" s="71" t="s">
        <v>60</v>
      </c>
      <c r="G31" s="71"/>
      <c r="H31" s="71"/>
    </row>
    <row r="32" spans="1:8" x14ac:dyDescent="0.25">
      <c r="A32" s="67" t="s">
        <v>61</v>
      </c>
      <c r="B32" s="69"/>
      <c r="C32" s="68"/>
      <c r="D32" s="26">
        <v>300</v>
      </c>
      <c r="E32" s="21"/>
      <c r="F32" s="67" t="s">
        <v>62</v>
      </c>
      <c r="G32" s="68"/>
      <c r="H32" s="45">
        <v>0.15</v>
      </c>
    </row>
    <row r="33" spans="1:8" x14ac:dyDescent="0.25">
      <c r="A33" s="21"/>
      <c r="B33" s="21"/>
      <c r="C33" s="21"/>
      <c r="D33" s="21"/>
      <c r="E33" s="21"/>
      <c r="F33" s="21"/>
      <c r="G33" s="21"/>
      <c r="H33" s="21"/>
    </row>
    <row r="34" spans="1:8" x14ac:dyDescent="0.25">
      <c r="A34" s="75" t="s">
        <v>63</v>
      </c>
      <c r="B34" s="76"/>
      <c r="C34" s="76"/>
      <c r="D34" s="77"/>
      <c r="E34" s="21"/>
      <c r="F34" s="71" t="s">
        <v>64</v>
      </c>
      <c r="G34" s="71"/>
      <c r="H34" s="71"/>
    </row>
    <row r="35" spans="1:8" x14ac:dyDescent="0.25">
      <c r="A35" s="23" t="s">
        <v>65</v>
      </c>
      <c r="B35" s="23" t="s">
        <v>66</v>
      </c>
      <c r="C35" s="23" t="s">
        <v>67</v>
      </c>
      <c r="D35" s="23" t="s">
        <v>68</v>
      </c>
      <c r="E35" s="21"/>
      <c r="F35" s="78" t="s">
        <v>69</v>
      </c>
      <c r="G35" s="79"/>
      <c r="H35" s="80"/>
    </row>
    <row r="36" spans="1:8" x14ac:dyDescent="0.25">
      <c r="A36" s="46">
        <v>2012</v>
      </c>
      <c r="B36" s="26">
        <v>0</v>
      </c>
      <c r="C36" s="47">
        <v>0.1</v>
      </c>
      <c r="D36" s="47">
        <v>0.25</v>
      </c>
      <c r="E36" s="21"/>
      <c r="F36" s="81" t="s">
        <v>70</v>
      </c>
      <c r="G36" s="81"/>
      <c r="H36" s="48">
        <v>2.42</v>
      </c>
    </row>
    <row r="37" spans="1:8" x14ac:dyDescent="0.25">
      <c r="A37" s="78" t="s">
        <v>71</v>
      </c>
      <c r="B37" s="80"/>
      <c r="C37" s="25">
        <f>B36*C36</f>
        <v>0</v>
      </c>
      <c r="D37" s="25">
        <f>((B36-C37)*D36)/12</f>
        <v>0</v>
      </c>
      <c r="E37" s="21"/>
      <c r="F37" s="72" t="s">
        <v>72</v>
      </c>
      <c r="G37" s="74"/>
      <c r="H37" s="48">
        <v>0.56999999999999995</v>
      </c>
    </row>
    <row r="38" spans="1:8" x14ac:dyDescent="0.25">
      <c r="A38" s="82" t="s">
        <v>73</v>
      </c>
      <c r="B38" s="82"/>
      <c r="C38" s="82"/>
      <c r="D38" s="82"/>
      <c r="E38" s="21"/>
      <c r="F38" s="72" t="s">
        <v>74</v>
      </c>
      <c r="G38" s="74"/>
      <c r="H38" s="48">
        <v>2</v>
      </c>
    </row>
    <row r="39" spans="1:8" x14ac:dyDescent="0.25">
      <c r="A39" s="83"/>
      <c r="B39" s="83"/>
      <c r="C39" s="83"/>
      <c r="D39" s="83"/>
      <c r="E39" s="21"/>
      <c r="F39" s="84" t="s">
        <v>0</v>
      </c>
      <c r="G39" s="85"/>
      <c r="H39" s="33">
        <f>SUM(H36:H38)</f>
        <v>4.99</v>
      </c>
    </row>
    <row r="40" spans="1:8" x14ac:dyDescent="0.25">
      <c r="A40" s="49"/>
      <c r="B40" s="49"/>
      <c r="C40" s="49"/>
      <c r="D40" s="49"/>
      <c r="E40" s="21"/>
      <c r="F40" s="21"/>
      <c r="G40" s="21"/>
      <c r="H40" s="21"/>
    </row>
    <row r="41" spans="1:8" x14ac:dyDescent="0.25">
      <c r="A41" s="71" t="s">
        <v>75</v>
      </c>
      <c r="B41" s="71"/>
      <c r="C41" s="71"/>
      <c r="D41" s="71"/>
      <c r="E41" s="21"/>
      <c r="F41" s="71" t="s">
        <v>76</v>
      </c>
      <c r="G41" s="71"/>
      <c r="H41" s="71"/>
    </row>
    <row r="42" spans="1:8" x14ac:dyDescent="0.25">
      <c r="A42" s="67" t="s">
        <v>77</v>
      </c>
      <c r="B42" s="69"/>
      <c r="C42" s="68"/>
      <c r="D42" s="50" t="s">
        <v>78</v>
      </c>
      <c r="E42" s="21"/>
      <c r="F42" s="65" t="s">
        <v>79</v>
      </c>
      <c r="G42" s="65"/>
      <c r="H42" s="25">
        <f>C62</f>
        <v>9441.8446739339943</v>
      </c>
    </row>
    <row r="43" spans="1:8" x14ac:dyDescent="0.25">
      <c r="A43" s="67" t="s">
        <v>80</v>
      </c>
      <c r="B43" s="69"/>
      <c r="C43" s="68"/>
      <c r="D43" s="50">
        <v>2003</v>
      </c>
      <c r="E43" s="21"/>
      <c r="F43" s="65" t="s">
        <v>81</v>
      </c>
      <c r="G43" s="65"/>
      <c r="H43" s="25">
        <f>C61</f>
        <v>471.1480492293062</v>
      </c>
    </row>
    <row r="44" spans="1:8" x14ac:dyDescent="0.25">
      <c r="A44" s="72" t="s">
        <v>82</v>
      </c>
      <c r="B44" s="73"/>
      <c r="C44" s="74"/>
      <c r="D44" s="51">
        <v>48000</v>
      </c>
      <c r="E44" s="21"/>
      <c r="F44" s="65" t="s">
        <v>83</v>
      </c>
      <c r="G44" s="65"/>
      <c r="H44" s="25">
        <f>C58</f>
        <v>7800.6057606127724</v>
      </c>
    </row>
    <row r="45" spans="1:8" x14ac:dyDescent="0.25">
      <c r="A45" s="67" t="s">
        <v>84</v>
      </c>
      <c r="B45" s="69"/>
      <c r="C45" s="68"/>
      <c r="D45" s="52">
        <v>0.12</v>
      </c>
      <c r="E45" s="21"/>
      <c r="F45" s="70" t="s">
        <v>85</v>
      </c>
      <c r="G45" s="70"/>
      <c r="H45" s="53">
        <f>H42-H43-H44</f>
        <v>1170.0908640919151</v>
      </c>
    </row>
    <row r="46" spans="1:8" x14ac:dyDescent="0.25">
      <c r="A46" s="67" t="s">
        <v>86</v>
      </c>
      <c r="B46" s="69"/>
      <c r="C46" s="68"/>
      <c r="D46" s="25">
        <f>(D44*D45)/12</f>
        <v>480</v>
      </c>
      <c r="E46" s="21"/>
      <c r="F46" s="67" t="s">
        <v>87</v>
      </c>
      <c r="G46" s="68"/>
      <c r="H46" s="54">
        <f>(H42*12%)*0.79%</f>
        <v>8.9508687508894269</v>
      </c>
    </row>
    <row r="47" spans="1:8" x14ac:dyDescent="0.25">
      <c r="A47" s="21"/>
      <c r="B47" s="21"/>
      <c r="C47" s="21"/>
      <c r="D47" s="21"/>
      <c r="E47" s="21"/>
      <c r="F47" s="67" t="s">
        <v>88</v>
      </c>
      <c r="G47" s="68"/>
      <c r="H47" s="54">
        <f>(H42*16%)*0.81%</f>
        <v>12.236630697418459</v>
      </c>
    </row>
    <row r="48" spans="1:8" x14ac:dyDescent="0.25">
      <c r="A48" s="71" t="s">
        <v>89</v>
      </c>
      <c r="B48" s="71"/>
      <c r="C48" s="71"/>
      <c r="D48" s="21"/>
      <c r="E48" s="21"/>
      <c r="F48" s="67" t="s">
        <v>90</v>
      </c>
      <c r="G48" s="68"/>
      <c r="H48" s="25">
        <f>H45-H46-H47</f>
        <v>1148.9033646436073</v>
      </c>
    </row>
    <row r="49" spans="1:8" x14ac:dyDescent="0.25">
      <c r="A49" s="67" t="s">
        <v>91</v>
      </c>
      <c r="B49" s="68"/>
      <c r="C49" s="25">
        <f>D16</f>
        <v>2227.4986666666668</v>
      </c>
      <c r="D49" s="55"/>
      <c r="E49" s="21"/>
      <c r="F49" s="21"/>
      <c r="G49" s="21"/>
      <c r="H49" s="21"/>
    </row>
    <row r="50" spans="1:8" x14ac:dyDescent="0.25">
      <c r="A50" s="65" t="s">
        <v>92</v>
      </c>
      <c r="B50" s="65"/>
      <c r="C50" s="25">
        <f>H15</f>
        <v>198.67416666666665</v>
      </c>
      <c r="D50" s="21"/>
      <c r="E50" s="21"/>
      <c r="F50" s="21"/>
      <c r="G50" s="21"/>
      <c r="H50" s="21"/>
    </row>
    <row r="51" spans="1:8" x14ac:dyDescent="0.25">
      <c r="A51" s="65" t="s">
        <v>93</v>
      </c>
      <c r="B51" s="65"/>
      <c r="C51" s="25">
        <f>D23</f>
        <v>2670.8010335917315</v>
      </c>
      <c r="D51" s="21"/>
      <c r="E51" s="21"/>
      <c r="F51" s="21"/>
      <c r="G51" s="21"/>
      <c r="H51" s="21"/>
    </row>
    <row r="52" spans="1:8" x14ac:dyDescent="0.25">
      <c r="A52" s="65" t="s">
        <v>94</v>
      </c>
      <c r="B52" s="65"/>
      <c r="C52" s="25">
        <f>H25</f>
        <v>721.7714285714286</v>
      </c>
      <c r="D52" s="21"/>
      <c r="E52" s="21"/>
      <c r="F52" s="21"/>
      <c r="G52" s="21"/>
      <c r="H52" s="21"/>
    </row>
    <row r="53" spans="1:8" x14ac:dyDescent="0.25">
      <c r="A53" s="65" t="s">
        <v>95</v>
      </c>
      <c r="B53" s="65"/>
      <c r="C53" s="25">
        <f>D29</f>
        <v>400.62015503875972</v>
      </c>
      <c r="D53" s="21"/>
      <c r="E53" s="21"/>
      <c r="F53" s="21"/>
      <c r="G53" s="21"/>
      <c r="H53" s="21"/>
    </row>
    <row r="54" spans="1:8" x14ac:dyDescent="0.25">
      <c r="A54" s="65" t="s">
        <v>96</v>
      </c>
      <c r="B54" s="65"/>
      <c r="C54" s="25">
        <f>H29</f>
        <v>801.24031007751944</v>
      </c>
      <c r="D54" s="21"/>
      <c r="E54" s="21"/>
      <c r="F54" s="21"/>
      <c r="G54" s="21"/>
      <c r="H54" s="21"/>
    </row>
    <row r="55" spans="1:8" x14ac:dyDescent="0.25">
      <c r="A55" s="65" t="s">
        <v>97</v>
      </c>
      <c r="B55" s="65"/>
      <c r="C55" s="25">
        <f>D32</f>
        <v>300</v>
      </c>
      <c r="D55" s="55"/>
      <c r="E55" s="21"/>
      <c r="F55" s="21"/>
      <c r="G55" s="21"/>
      <c r="H55" s="21"/>
    </row>
    <row r="56" spans="1:8" x14ac:dyDescent="0.25">
      <c r="A56" s="65" t="s">
        <v>98</v>
      </c>
      <c r="B56" s="65"/>
      <c r="C56" s="25">
        <f>D37</f>
        <v>0</v>
      </c>
      <c r="D56" s="21"/>
      <c r="E56" s="21"/>
      <c r="F56" s="21"/>
      <c r="G56" s="21"/>
      <c r="H56" s="21"/>
    </row>
    <row r="57" spans="1:8" x14ac:dyDescent="0.25">
      <c r="A57" s="67" t="s">
        <v>99</v>
      </c>
      <c r="B57" s="68"/>
      <c r="C57" s="25">
        <f>D46</f>
        <v>480</v>
      </c>
      <c r="D57" s="55"/>
      <c r="E57" s="21"/>
      <c r="F57" s="56" t="s">
        <v>100</v>
      </c>
      <c r="G57" s="21"/>
      <c r="H57" s="21"/>
    </row>
    <row r="58" spans="1:8" x14ac:dyDescent="0.25">
      <c r="A58" s="65" t="s">
        <v>101</v>
      </c>
      <c r="B58" s="65"/>
      <c r="C58" s="25">
        <f>SUM(C49:C57)</f>
        <v>7800.6057606127724</v>
      </c>
      <c r="D58" s="21"/>
      <c r="E58" s="57"/>
      <c r="F58" s="21"/>
      <c r="G58" s="57"/>
      <c r="H58" s="21"/>
    </row>
    <row r="59" spans="1:8" x14ac:dyDescent="0.25">
      <c r="A59" s="65" t="s">
        <v>102</v>
      </c>
      <c r="B59" s="65"/>
      <c r="C59" s="58">
        <f>C58*H32</f>
        <v>1170.0908640919158</v>
      </c>
      <c r="D59" s="21"/>
      <c r="E59" s="21"/>
      <c r="F59" s="21"/>
      <c r="G59" s="21"/>
      <c r="H59" s="21"/>
    </row>
    <row r="60" spans="1:8" x14ac:dyDescent="0.25">
      <c r="A60" s="67" t="s">
        <v>103</v>
      </c>
      <c r="B60" s="69"/>
      <c r="C60" s="58">
        <f>(C58+C59)/((100-H39)/100)</f>
        <v>9441.8446739339925</v>
      </c>
      <c r="D60" s="21"/>
      <c r="E60" s="21"/>
      <c r="F60" s="56" t="s">
        <v>104</v>
      </c>
      <c r="G60" s="21"/>
      <c r="H60" s="21"/>
    </row>
    <row r="61" spans="1:8" x14ac:dyDescent="0.25">
      <c r="A61" s="65" t="s">
        <v>105</v>
      </c>
      <c r="B61" s="65"/>
      <c r="C61" s="58">
        <f>(C60*H39%)</f>
        <v>471.1480492293062</v>
      </c>
      <c r="D61" s="21"/>
      <c r="E61" s="57"/>
      <c r="F61" s="59" t="s">
        <v>106</v>
      </c>
      <c r="G61" s="57"/>
      <c r="H61" s="21"/>
    </row>
    <row r="62" spans="1:8" x14ac:dyDescent="0.25">
      <c r="A62" s="65" t="s">
        <v>107</v>
      </c>
      <c r="B62" s="65"/>
      <c r="C62" s="25">
        <f>C58+C59+C61</f>
        <v>9441.8446739339943</v>
      </c>
      <c r="D62" s="21"/>
      <c r="E62" s="57"/>
      <c r="F62" s="57" t="s">
        <v>108</v>
      </c>
      <c r="G62" s="57"/>
      <c r="H62" s="21"/>
    </row>
    <row r="63" spans="1:8" x14ac:dyDescent="0.25">
      <c r="A63" s="65" t="s">
        <v>47</v>
      </c>
      <c r="B63" s="65"/>
      <c r="C63" s="60">
        <f>H5</f>
        <v>3400</v>
      </c>
      <c r="D63" s="21"/>
      <c r="E63" s="21"/>
      <c r="F63" s="21"/>
      <c r="G63" s="21"/>
      <c r="H63" s="21"/>
    </row>
    <row r="64" spans="1:8" x14ac:dyDescent="0.25">
      <c r="A64" s="66" t="s">
        <v>109</v>
      </c>
      <c r="B64" s="66"/>
      <c r="C64" s="61">
        <f>C62/C63</f>
        <v>2.7770131393923512</v>
      </c>
      <c r="D64" s="21"/>
      <c r="E64" s="21"/>
      <c r="F64" s="21"/>
      <c r="G64" s="21"/>
      <c r="H64" s="21"/>
    </row>
  </sheetData>
  <mergeCells count="84">
    <mergeCell ref="A1:H1"/>
    <mergeCell ref="A2:H2"/>
    <mergeCell ref="A3:H3"/>
    <mergeCell ref="A4:B4"/>
    <mergeCell ref="C4:D4"/>
    <mergeCell ref="E4:F4"/>
    <mergeCell ref="A5:B5"/>
    <mergeCell ref="C5:D5"/>
    <mergeCell ref="E5:F5"/>
    <mergeCell ref="A6:B6"/>
    <mergeCell ref="C6:D6"/>
    <mergeCell ref="E6:F6"/>
    <mergeCell ref="F16:H17"/>
    <mergeCell ref="G6:H6"/>
    <mergeCell ref="A8:D8"/>
    <mergeCell ref="F8:H8"/>
    <mergeCell ref="A9:B9"/>
    <mergeCell ref="A10:B10"/>
    <mergeCell ref="A11:B11"/>
    <mergeCell ref="A12:B12"/>
    <mergeCell ref="A13:B13"/>
    <mergeCell ref="A14:B14"/>
    <mergeCell ref="A15:B15"/>
    <mergeCell ref="A16:B16"/>
    <mergeCell ref="A18:D18"/>
    <mergeCell ref="F18:H18"/>
    <mergeCell ref="A19:C19"/>
    <mergeCell ref="F19:G19"/>
    <mergeCell ref="A20:C20"/>
    <mergeCell ref="F20:G20"/>
    <mergeCell ref="A21:C21"/>
    <mergeCell ref="F21:G21"/>
    <mergeCell ref="A22:C22"/>
    <mergeCell ref="F22:G22"/>
    <mergeCell ref="A23:C23"/>
    <mergeCell ref="F23:G23"/>
    <mergeCell ref="F24:G24"/>
    <mergeCell ref="A26:D26"/>
    <mergeCell ref="F26:H26"/>
    <mergeCell ref="A28:C28"/>
    <mergeCell ref="A31:D31"/>
    <mergeCell ref="F31:H31"/>
    <mergeCell ref="A41:D41"/>
    <mergeCell ref="F41:H41"/>
    <mergeCell ref="A32:C32"/>
    <mergeCell ref="F32:G32"/>
    <mergeCell ref="A34:D34"/>
    <mergeCell ref="F34:H34"/>
    <mergeCell ref="F35:H35"/>
    <mergeCell ref="F36:G36"/>
    <mergeCell ref="A37:B37"/>
    <mergeCell ref="F37:G37"/>
    <mergeCell ref="A38:D39"/>
    <mergeCell ref="F38:G38"/>
    <mergeCell ref="F39:G39"/>
    <mergeCell ref="A42:C42"/>
    <mergeCell ref="F42:G42"/>
    <mergeCell ref="A43:C43"/>
    <mergeCell ref="F43:G43"/>
    <mergeCell ref="A44:C44"/>
    <mergeCell ref="F44:G44"/>
    <mergeCell ref="A54:B54"/>
    <mergeCell ref="A45:C45"/>
    <mergeCell ref="F45:G45"/>
    <mergeCell ref="A46:C46"/>
    <mergeCell ref="F46:G46"/>
    <mergeCell ref="F47:G47"/>
    <mergeCell ref="A48:C48"/>
    <mergeCell ref="F48:G48"/>
    <mergeCell ref="A49:B49"/>
    <mergeCell ref="A50:B50"/>
    <mergeCell ref="A51:B51"/>
    <mergeCell ref="A52:B52"/>
    <mergeCell ref="A53:B53"/>
    <mergeCell ref="A61:B61"/>
    <mergeCell ref="A62:B62"/>
    <mergeCell ref="A63:B63"/>
    <mergeCell ref="A64:B64"/>
    <mergeCell ref="A55:B55"/>
    <mergeCell ref="A56:B56"/>
    <mergeCell ref="A57:B57"/>
    <mergeCell ref="A58:B58"/>
    <mergeCell ref="A59:B59"/>
    <mergeCell ref="A60:B60"/>
  </mergeCells>
  <pageMargins left="0.511811024" right="0.511811024" top="0.78740157499999996" bottom="0.78740157499999996" header="0.31496062000000002" footer="0.31496062000000002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Dados Pitanga</vt:lpstr>
      <vt:lpstr>Custos Pitanga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2017-01-20T17:38:59Z</dcterms:modified>
</cp:coreProperties>
</file>